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Water - Sewer\Rate Studies\2023-Rate Study\Prop 218 - 2024\Council Q 32 Answers\Rate Calculators\"/>
    </mc:Choice>
  </mc:AlternateContent>
  <xr:revisionPtr revIDLastSave="0" documentId="13_ncr:1_{EDD86644-86D2-498B-8AA8-C6F34E5C154A}" xr6:coauthVersionLast="47" xr6:coauthVersionMax="47" xr10:uidLastSave="{00000000-0000-0000-0000-000000000000}"/>
  <bookViews>
    <workbookView xWindow="28680" yWindow="-120" windowWidth="29040" windowHeight="15840" xr2:uid="{71DE2D6A-2C7D-496F-8065-50995D9B602E}"/>
  </bookViews>
  <sheets>
    <sheet name="Commerci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D21" i="2"/>
  <c r="D20" i="2"/>
  <c r="D27" i="2"/>
  <c r="E21" i="2"/>
  <c r="E20" i="2" l="1"/>
  <c r="K29" i="2"/>
  <c r="K28" i="2"/>
  <c r="K27" i="2"/>
  <c r="K26" i="2"/>
  <c r="K25" i="2"/>
  <c r="D26" i="2" s="1"/>
  <c r="F14" i="2" s="1"/>
  <c r="E25" i="2" s="1"/>
  <c r="K24" i="2"/>
  <c r="F21" i="2"/>
  <c r="E27" i="2" l="1"/>
  <c r="F27" i="2" s="1"/>
  <c r="E26" i="2"/>
  <c r="F26" i="2" s="1"/>
  <c r="F20" i="2"/>
  <c r="F28" i="2" l="1"/>
  <c r="F29" i="2"/>
  <c r="F30" i="2" l="1"/>
</calcChain>
</file>

<file path=xl/sharedStrings.xml><?xml version="1.0" encoding="utf-8"?>
<sst xmlns="http://schemas.openxmlformats.org/spreadsheetml/2006/main" count="68" uniqueCount="48">
  <si>
    <t>Water</t>
  </si>
  <si>
    <t>Sewer</t>
  </si>
  <si>
    <t>Meter Size</t>
  </si>
  <si>
    <t>Total Water</t>
  </si>
  <si>
    <t>Total Sewer</t>
  </si>
  <si>
    <t>5/8 x 3/4"</t>
  </si>
  <si>
    <t>1"</t>
  </si>
  <si>
    <t>1.5"</t>
  </si>
  <si>
    <t>2"</t>
  </si>
  <si>
    <t>3"</t>
  </si>
  <si>
    <t>4"</t>
  </si>
  <si>
    <t>Commercial</t>
  </si>
  <si>
    <t>Existing</t>
  </si>
  <si>
    <t>Total Bi-Monthly Existing Rates</t>
  </si>
  <si>
    <t>Total Bi-Monthly Proposed Rates</t>
  </si>
  <si>
    <t>Water Bi-Monthly Rates</t>
  </si>
  <si>
    <t>Water Usage Rates</t>
  </si>
  <si>
    <t>Current</t>
  </si>
  <si>
    <t>Proposed</t>
  </si>
  <si>
    <t xml:space="preserve">Current </t>
  </si>
  <si>
    <t>Sewer Bi-Monthly Rates</t>
  </si>
  <si>
    <t>Sewer Usage Rates</t>
  </si>
  <si>
    <t>All Accounts</t>
  </si>
  <si>
    <t>Base Charges</t>
  </si>
  <si>
    <t>This table calculates the estimated usage charges and compares the current rates and proposed rates</t>
  </si>
  <si>
    <t>DISCLOSURE:</t>
  </si>
  <si>
    <t>Provided as a tool for estimating purposes only.  Amounts reflected in this tool are not a direct reflection of what actual bill amounts will be.</t>
  </si>
  <si>
    <t>For questions or additional information about your water or sewer account please call the administrative services department at 707-823-7863</t>
  </si>
  <si>
    <t>Sebastopol Proposed Rate Calculator</t>
  </si>
  <si>
    <t>Fill in orange fields only</t>
  </si>
  <si>
    <r>
      <rPr>
        <i/>
        <u/>
        <sz val="11"/>
        <color rgb="FFFF0000"/>
        <rFont val="Aptos Narrow"/>
        <family val="2"/>
        <scheme val="minor"/>
      </rPr>
      <t>Use the drop down menu</t>
    </r>
    <r>
      <rPr>
        <u/>
        <sz val="11"/>
        <color theme="1"/>
        <rFont val="Aptos Narrow"/>
        <family val="2"/>
        <scheme val="minor"/>
      </rPr>
      <t xml:space="preserve"> </t>
    </r>
    <r>
      <rPr>
        <sz val="11"/>
        <color theme="1"/>
        <rFont val="Aptos Narrow"/>
        <family val="2"/>
        <scheme val="minor"/>
      </rPr>
      <t xml:space="preserve">to select your meter size </t>
    </r>
  </si>
  <si>
    <t>Enter estimated total units used  - each unit is 1 CON or 1 kgal or 1,000 gallons</t>
  </si>
  <si>
    <t>$ with existing rates</t>
  </si>
  <si>
    <t>$ with proposed rates</t>
  </si>
  <si>
    <t>% Increase</t>
  </si>
  <si>
    <t>1 kgal (1,000 gallons)</t>
  </si>
  <si>
    <t>Sewer Only</t>
  </si>
  <si>
    <t xml:space="preserve">Water Only </t>
  </si>
  <si>
    <t>Usage (a)</t>
  </si>
  <si>
    <t xml:space="preserve">*The lesser amount between water usage (a) and winter average (b) is used to calculate your sewer usage. </t>
  </si>
  <si>
    <r>
      <rPr>
        <b/>
        <sz val="11"/>
        <color rgb="FFFF0000"/>
        <rFont val="Aptos Narrow"/>
        <family val="2"/>
        <scheme val="minor"/>
      </rPr>
      <t>*</t>
    </r>
    <r>
      <rPr>
        <b/>
        <sz val="11"/>
        <color theme="1"/>
        <rFont val="Aptos Narrow"/>
        <family val="2"/>
        <scheme val="minor"/>
      </rPr>
      <t>Winter Average (b)</t>
    </r>
  </si>
  <si>
    <t>Cons/kgal</t>
  </si>
  <si>
    <t>Water Cons/kgal</t>
  </si>
  <si>
    <t xml:space="preserve">If you're using a current water and sewer bill, use this calculator to calculate the winter ave Cons/kgal. </t>
  </si>
  <si>
    <t>Winter Ave</t>
  </si>
  <si>
    <t>Cons/Kgal</t>
  </si>
  <si>
    <t>Enter the sewer charge as it appears on your bill</t>
  </si>
  <si>
    <t>*A calculator is currently being developed for other commercial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</si>
</sst>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i/>
      <u/>
      <sz val="11"/>
      <color rgb="FFFF0000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499923703726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4" borderId="1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wrapText="1"/>
    </xf>
    <xf numFmtId="0" fontId="0" fillId="0" borderId="15" xfId="0" applyBorder="1"/>
    <xf numFmtId="0" fontId="5" fillId="0" borderId="2" xfId="0" applyFont="1" applyBorder="1"/>
    <xf numFmtId="0" fontId="5" fillId="0" borderId="0" xfId="0" applyFont="1"/>
    <xf numFmtId="49" fontId="5" fillId="0" borderId="2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7" fontId="0" fillId="0" borderId="3" xfId="0" applyNumberFormat="1" applyBorder="1"/>
    <xf numFmtId="44" fontId="0" fillId="0" borderId="1" xfId="0" applyNumberFormat="1" applyBorder="1"/>
    <xf numFmtId="49" fontId="0" fillId="0" borderId="1" xfId="0" applyNumberFormat="1" applyBorder="1"/>
    <xf numFmtId="7" fontId="0" fillId="0" borderId="3" xfId="0" applyNumberFormat="1" applyBorder="1" applyAlignment="1">
      <alignment vertical="center"/>
    </xf>
    <xf numFmtId="7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44" fontId="0" fillId="0" borderId="1" xfId="0" applyNumberFormat="1" applyBorder="1" applyAlignment="1">
      <alignment horizontal="center"/>
    </xf>
    <xf numFmtId="49" fontId="0" fillId="0" borderId="0" xfId="0" applyNumberFormat="1"/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center" vertical="center"/>
    </xf>
    <xf numFmtId="12" fontId="0" fillId="0" borderId="1" xfId="0" applyNumberFormat="1" applyBorder="1"/>
    <xf numFmtId="0" fontId="3" fillId="2" borderId="1" xfId="0" applyFont="1" applyFill="1" applyBorder="1" applyAlignment="1">
      <alignment horizontal="left" wrapText="1"/>
    </xf>
    <xf numFmtId="7" fontId="0" fillId="2" borderId="1" xfId="0" applyNumberFormat="1" applyFill="1" applyBorder="1"/>
    <xf numFmtId="7" fontId="0" fillId="2" borderId="1" xfId="1" applyNumberFormat="1" applyFont="1" applyFill="1" applyBorder="1" applyProtection="1"/>
    <xf numFmtId="7" fontId="0" fillId="0" borderId="15" xfId="1" applyNumberFormat="1" applyFont="1" applyFill="1" applyBorder="1" applyProtection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vertical="center" wrapText="1"/>
    </xf>
    <xf numFmtId="7" fontId="11" fillId="3" borderId="1" xfId="0" applyNumberFormat="1" applyFont="1" applyFill="1" applyBorder="1"/>
    <xf numFmtId="7" fontId="11" fillId="3" borderId="1" xfId="1" applyNumberFormat="1" applyFont="1" applyFill="1" applyBorder="1" applyProtection="1"/>
    <xf numFmtId="7" fontId="2" fillId="0" borderId="15" xfId="1" applyNumberFormat="1" applyFont="1" applyFill="1" applyBorder="1" applyProtection="1"/>
    <xf numFmtId="0" fontId="0" fillId="0" borderId="7" xfId="0" applyBorder="1"/>
    <xf numFmtId="0" fontId="0" fillId="0" borderId="37" xfId="0" applyBorder="1" applyAlignment="1">
      <alignment horizontal="center"/>
    </xf>
    <xf numFmtId="7" fontId="0" fillId="0" borderId="0" xfId="0" applyNumberFormat="1"/>
    <xf numFmtId="0" fontId="0" fillId="0" borderId="9" xfId="0" applyBorder="1" applyAlignment="1">
      <alignment horizontal="center"/>
    </xf>
    <xf numFmtId="0" fontId="0" fillId="0" borderId="9" xfId="0" applyBorder="1"/>
    <xf numFmtId="49" fontId="5" fillId="0" borderId="0" xfId="0" applyNumberFormat="1" applyFont="1"/>
    <xf numFmtId="7" fontId="0" fillId="2" borderId="9" xfId="1" applyNumberFormat="1" applyFont="1" applyFill="1" applyBorder="1" applyProtection="1"/>
    <xf numFmtId="164" fontId="11" fillId="3" borderId="5" xfId="0" applyNumberFormat="1" applyFont="1" applyFill="1" applyBorder="1"/>
    <xf numFmtId="7" fontId="11" fillId="3" borderId="27" xfId="1" applyNumberFormat="1" applyFont="1" applyFill="1" applyBorder="1" applyProtection="1"/>
    <xf numFmtId="164" fontId="2" fillId="0" borderId="15" xfId="1" applyNumberFormat="1" applyFont="1" applyFill="1" applyBorder="1" applyProtection="1"/>
    <xf numFmtId="7" fontId="0" fillId="0" borderId="1" xfId="0" applyNumberFormat="1" applyBorder="1"/>
    <xf numFmtId="7" fontId="3" fillId="6" borderId="30" xfId="0" applyNumberFormat="1" applyFont="1" applyFill="1" applyBorder="1"/>
    <xf numFmtId="7" fontId="3" fillId="0" borderId="15" xfId="0" applyNumberFormat="1" applyFont="1" applyBorder="1"/>
    <xf numFmtId="7" fontId="3" fillId="5" borderId="32" xfId="0" applyNumberFormat="1" applyFont="1" applyFill="1" applyBorder="1"/>
    <xf numFmtId="0" fontId="3" fillId="0" borderId="33" xfId="0" applyFont="1" applyBorder="1" applyAlignment="1">
      <alignment vertical="center" wrapText="1"/>
    </xf>
    <xf numFmtId="0" fontId="0" fillId="0" borderId="34" xfId="0" applyBorder="1"/>
    <xf numFmtId="9" fontId="4" fillId="0" borderId="35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0" fillId="0" borderId="0" xfId="0" applyNumberFormat="1"/>
    <xf numFmtId="44" fontId="0" fillId="0" borderId="0" xfId="1" applyFont="1" applyFill="1" applyProtection="1"/>
    <xf numFmtId="0" fontId="0" fillId="0" borderId="19" xfId="0" applyBorder="1"/>
    <xf numFmtId="0" fontId="6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38" xfId="0" applyFill="1" applyBorder="1" applyAlignment="1" applyProtection="1">
      <alignment horizontal="center"/>
      <protection locked="0"/>
    </xf>
    <xf numFmtId="164" fontId="11" fillId="2" borderId="5" xfId="0" applyNumberFormat="1" applyFont="1" applyFill="1" applyBorder="1"/>
    <xf numFmtId="0" fontId="3" fillId="5" borderId="31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3" fillId="6" borderId="28" xfId="0" applyFont="1" applyFill="1" applyBorder="1" applyAlignment="1">
      <alignment horizontal="left" wrapText="1"/>
    </xf>
    <xf numFmtId="0" fontId="3" fillId="6" borderId="29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F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57150</xdr:rowOff>
    </xdr:from>
    <xdr:ext cx="647700" cy="542925"/>
    <xdr:pic>
      <xdr:nvPicPr>
        <xdr:cNvPr id="2" name="Picture 1" descr="CS_Logo_1902_Color_Solid (1)">
          <a:extLst>
            <a:ext uri="{FF2B5EF4-FFF2-40B4-BE49-F238E27FC236}">
              <a16:creationId xmlns:a16="http://schemas.microsoft.com/office/drawing/2014/main" id="{FC3735FC-5AC6-4C4E-8CA7-2FC0E0D11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8150" y="57150"/>
          <a:ext cx="647700" cy="5429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9DFA-149B-457B-8FA0-76C3F92D3BD8}">
  <sheetPr>
    <tabColor rgb="FFFF0000"/>
    <pageSetUpPr fitToPage="1"/>
  </sheetPr>
  <dimension ref="B2:R36"/>
  <sheetViews>
    <sheetView tabSelected="1" workbookViewId="0">
      <selection activeCell="C10" sqref="C10"/>
    </sheetView>
  </sheetViews>
  <sheetFormatPr defaultRowHeight="15" x14ac:dyDescent="0.25"/>
  <cols>
    <col min="1" max="1" width="1.42578125" customWidth="1"/>
    <col min="2" max="2" width="3.7109375" customWidth="1"/>
    <col min="3" max="3" width="44.7109375" customWidth="1"/>
    <col min="4" max="4" width="13.7109375" customWidth="1"/>
    <col min="5" max="5" width="15.28515625" customWidth="1"/>
    <col min="6" max="6" width="13.7109375" customWidth="1"/>
    <col min="7" max="7" width="3.7109375" customWidth="1"/>
    <col min="8" max="8" width="3.85546875" customWidth="1"/>
    <col min="9" max="9" width="3.7109375" customWidth="1"/>
    <col min="10" max="10" width="12.42578125" customWidth="1"/>
    <col min="11" max="11" width="14.140625" bestFit="1" customWidth="1"/>
    <col min="12" max="12" width="10.85546875" bestFit="1" customWidth="1"/>
    <col min="13" max="13" width="2.140625" customWidth="1"/>
    <col min="14" max="14" width="24.140625" bestFit="1" customWidth="1"/>
    <col min="15" max="15" width="7.7109375" bestFit="1" customWidth="1"/>
    <col min="16" max="17" width="9.42578125" bestFit="1" customWidth="1"/>
    <col min="18" max="18" width="3.7109375" customWidth="1"/>
  </cols>
  <sheetData>
    <row r="2" spans="2:18" ht="22.5" customHeight="1" x14ac:dyDescent="0.4">
      <c r="D2" s="91" t="s">
        <v>28</v>
      </c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8" ht="21" x14ac:dyDescent="0.35">
      <c r="D3" s="92" t="s">
        <v>11</v>
      </c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8" x14ac:dyDescent="0.25">
      <c r="D4" s="101" t="s">
        <v>47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8" ht="15.75" thickBot="1" x14ac:dyDescent="0.3"/>
    <row r="6" spans="2:18" ht="34.5" customHeight="1" x14ac:dyDescent="0.25">
      <c r="B6" s="93" t="s">
        <v>24</v>
      </c>
      <c r="C6" s="94"/>
      <c r="D6" s="94"/>
      <c r="E6" s="94"/>
      <c r="F6" s="94"/>
      <c r="G6" s="95"/>
      <c r="I6" s="2"/>
      <c r="J6" s="3"/>
      <c r="K6" s="3"/>
      <c r="L6" s="3"/>
      <c r="M6" s="3"/>
      <c r="N6" s="3"/>
      <c r="O6" s="3"/>
      <c r="P6" s="3"/>
      <c r="Q6" s="3"/>
      <c r="R6" s="4"/>
    </row>
    <row r="7" spans="2:18" ht="15" customHeight="1" x14ac:dyDescent="0.25">
      <c r="B7" s="5"/>
      <c r="C7" s="76" t="s">
        <v>29</v>
      </c>
      <c r="D7" s="77"/>
      <c r="E7" s="77"/>
      <c r="F7" s="77"/>
      <c r="G7" s="6"/>
      <c r="I7" s="5"/>
      <c r="R7" s="7"/>
    </row>
    <row r="8" spans="2:18" ht="15" customHeight="1" x14ac:dyDescent="0.25">
      <c r="B8" s="5">
        <v>1</v>
      </c>
      <c r="C8" s="86" t="s">
        <v>30</v>
      </c>
      <c r="D8" s="86"/>
      <c r="E8" s="86"/>
      <c r="F8" s="86"/>
      <c r="G8" s="87"/>
      <c r="I8" s="5"/>
      <c r="R8" s="7"/>
    </row>
    <row r="9" spans="2:18" x14ac:dyDescent="0.25">
      <c r="B9" s="5">
        <v>2</v>
      </c>
      <c r="C9" t="s">
        <v>31</v>
      </c>
      <c r="G9" s="7"/>
      <c r="I9" s="5"/>
      <c r="R9" s="7"/>
    </row>
    <row r="10" spans="2:18" x14ac:dyDescent="0.25">
      <c r="B10" s="5">
        <v>3</v>
      </c>
      <c r="C10" t="s">
        <v>43</v>
      </c>
      <c r="G10" s="7"/>
      <c r="I10" s="5"/>
      <c r="R10" s="7"/>
    </row>
    <row r="11" spans="2:18" x14ac:dyDescent="0.25">
      <c r="B11" s="5"/>
      <c r="G11" s="7"/>
      <c r="I11" s="5"/>
      <c r="R11" s="7"/>
    </row>
    <row r="12" spans="2:18" ht="18.75" x14ac:dyDescent="0.3">
      <c r="B12" s="5"/>
      <c r="E12" s="78" t="s">
        <v>44</v>
      </c>
      <c r="G12" s="7"/>
      <c r="I12" s="5"/>
      <c r="J12" s="8" t="s">
        <v>15</v>
      </c>
      <c r="K12" s="8"/>
      <c r="L12" s="8"/>
      <c r="M12" s="9"/>
      <c r="N12" s="10" t="s">
        <v>16</v>
      </c>
      <c r="R12" s="7"/>
    </row>
    <row r="13" spans="2:18" ht="15.75" thickBot="1" x14ac:dyDescent="0.3">
      <c r="B13" s="5"/>
      <c r="E13" s="78" t="s">
        <v>45</v>
      </c>
      <c r="G13" s="7"/>
      <c r="I13" s="5"/>
      <c r="J13" s="12" t="s">
        <v>2</v>
      </c>
      <c r="K13" s="13" t="s">
        <v>17</v>
      </c>
      <c r="L13" s="13" t="s">
        <v>18</v>
      </c>
      <c r="M13" s="14"/>
      <c r="N13" s="15" t="s">
        <v>35</v>
      </c>
      <c r="O13" s="16" t="s">
        <v>19</v>
      </c>
      <c r="P13" s="17" t="s">
        <v>18</v>
      </c>
      <c r="R13" s="7"/>
    </row>
    <row r="14" spans="2:18" ht="15.75" thickBot="1" x14ac:dyDescent="0.3">
      <c r="B14" s="5"/>
      <c r="C14" t="s">
        <v>46</v>
      </c>
      <c r="D14" s="82">
        <v>0</v>
      </c>
      <c r="E14" s="80">
        <f>ROUND(IF(F14&gt;0,F14,0),)</f>
        <v>0</v>
      </c>
      <c r="F14" s="79">
        <f>($D$14-$D$26)/$O$24</f>
        <v>-12.412221144519883</v>
      </c>
      <c r="G14" s="7"/>
      <c r="I14" s="5"/>
      <c r="J14" s="21" t="s">
        <v>5</v>
      </c>
      <c r="K14" s="22">
        <v>49.33</v>
      </c>
      <c r="L14" s="23">
        <v>67.680000000000007</v>
      </c>
      <c r="N14" s="24" t="s">
        <v>11</v>
      </c>
      <c r="O14" s="25">
        <v>4.5199999999999996</v>
      </c>
      <c r="P14" s="26">
        <v>5.51</v>
      </c>
      <c r="R14" s="7"/>
    </row>
    <row r="15" spans="2:18" ht="17.25" customHeight="1" x14ac:dyDescent="0.25">
      <c r="B15" s="5"/>
      <c r="G15" s="7"/>
      <c r="I15" s="5"/>
      <c r="J15" s="27" t="s">
        <v>6</v>
      </c>
      <c r="K15" s="22">
        <v>82.41</v>
      </c>
      <c r="L15" s="28">
        <v>111.95</v>
      </c>
      <c r="N15" s="29"/>
      <c r="O15" s="29"/>
      <c r="P15" s="30"/>
      <c r="R15" s="7"/>
    </row>
    <row r="16" spans="2:18" ht="18.75" x14ac:dyDescent="0.3">
      <c r="B16" s="5"/>
      <c r="C16" s="88" t="s">
        <v>0</v>
      </c>
      <c r="D16" s="89"/>
      <c r="E16" s="89"/>
      <c r="F16" s="90"/>
      <c r="G16" s="11"/>
      <c r="I16" s="5"/>
      <c r="J16" s="32" t="s">
        <v>7</v>
      </c>
      <c r="K16" s="22">
        <v>164.13</v>
      </c>
      <c r="L16" s="28">
        <v>222.59</v>
      </c>
      <c r="N16" s="29"/>
      <c r="P16" s="30"/>
      <c r="R16" s="7"/>
    </row>
    <row r="17" spans="2:18" x14ac:dyDescent="0.25">
      <c r="B17" s="5"/>
      <c r="C17" s="18"/>
      <c r="D17" s="12" t="s">
        <v>23</v>
      </c>
      <c r="E17" s="12" t="s">
        <v>38</v>
      </c>
      <c r="F17" s="19" t="s">
        <v>3</v>
      </c>
      <c r="G17" s="20"/>
      <c r="I17" s="5"/>
      <c r="J17" s="27" t="s">
        <v>8</v>
      </c>
      <c r="K17" s="22">
        <v>262.77</v>
      </c>
      <c r="L17" s="28">
        <v>355.37</v>
      </c>
      <c r="N17" s="29"/>
      <c r="O17" s="37"/>
      <c r="P17" s="30"/>
      <c r="R17" s="7"/>
    </row>
    <row r="18" spans="2:18" x14ac:dyDescent="0.25">
      <c r="B18" s="5"/>
      <c r="C18" s="18"/>
      <c r="D18" s="19" t="s">
        <v>2</v>
      </c>
      <c r="E18" s="19" t="s">
        <v>41</v>
      </c>
      <c r="F18" s="19"/>
      <c r="G18" s="20"/>
      <c r="I18" s="5"/>
      <c r="J18" s="27" t="s">
        <v>9</v>
      </c>
      <c r="K18" s="22">
        <v>575.37</v>
      </c>
      <c r="L18" s="23">
        <v>775.82</v>
      </c>
      <c r="N18" s="29"/>
      <c r="P18" s="30"/>
      <c r="Q18" s="31"/>
      <c r="R18" s="7"/>
    </row>
    <row r="19" spans="2:18" ht="17.25" customHeight="1" x14ac:dyDescent="0.25">
      <c r="B19" s="5"/>
      <c r="C19" s="18"/>
      <c r="D19" s="1" t="s">
        <v>6</v>
      </c>
      <c r="E19" s="1">
        <v>0</v>
      </c>
      <c r="F19" s="18"/>
      <c r="G19" s="7"/>
      <c r="I19" s="5"/>
      <c r="J19" s="27" t="s">
        <v>10</v>
      </c>
      <c r="K19" s="22">
        <v>821.78</v>
      </c>
      <c r="L19" s="23">
        <v>1395.46</v>
      </c>
      <c r="N19" s="29"/>
      <c r="P19" s="31"/>
      <c r="Q19" s="31"/>
      <c r="R19" s="7"/>
    </row>
    <row r="20" spans="2:18" x14ac:dyDescent="0.25">
      <c r="B20" s="5"/>
      <c r="C20" s="33" t="s">
        <v>32</v>
      </c>
      <c r="D20" s="34">
        <f>VLOOKUP($D$19,$J$14:$L$20,2,FALSE)</f>
        <v>82.41</v>
      </c>
      <c r="E20" s="34">
        <f>E19*O14</f>
        <v>0</v>
      </c>
      <c r="F20" s="35">
        <f>E20+D20</f>
        <v>82.41</v>
      </c>
      <c r="G20" s="36"/>
      <c r="I20" s="5"/>
      <c r="J20" s="27" t="s">
        <v>36</v>
      </c>
      <c r="K20" s="23">
        <v>0</v>
      </c>
      <c r="L20" s="23">
        <v>0</v>
      </c>
      <c r="M20" s="44"/>
      <c r="Q20" s="31"/>
      <c r="R20" s="7"/>
    </row>
    <row r="21" spans="2:18" x14ac:dyDescent="0.25">
      <c r="B21" s="5"/>
      <c r="C21" s="38" t="s">
        <v>33</v>
      </c>
      <c r="D21" s="39">
        <f>VLOOKUP($D$19,$J$14:$L$20,3,FALSE)</f>
        <v>111.95</v>
      </c>
      <c r="E21" s="39">
        <f>E19*P14</f>
        <v>0</v>
      </c>
      <c r="F21" s="40">
        <f>E21+D21</f>
        <v>111.95</v>
      </c>
      <c r="G21" s="41"/>
      <c r="I21" s="5"/>
      <c r="Q21" s="31"/>
      <c r="R21" s="7"/>
    </row>
    <row r="22" spans="2:18" ht="18.75" x14ac:dyDescent="0.3">
      <c r="B22" s="5"/>
      <c r="C22" s="88" t="s">
        <v>1</v>
      </c>
      <c r="D22" s="89"/>
      <c r="E22" s="89"/>
      <c r="F22" s="90"/>
      <c r="G22" s="11"/>
      <c r="I22" s="5"/>
      <c r="J22" s="10" t="s">
        <v>20</v>
      </c>
      <c r="K22" s="10"/>
      <c r="L22" s="10"/>
      <c r="M22" s="47"/>
      <c r="N22" s="10" t="s">
        <v>21</v>
      </c>
      <c r="Q22" s="31"/>
      <c r="R22" s="7"/>
    </row>
    <row r="23" spans="2:18" ht="31.5" customHeight="1" x14ac:dyDescent="0.25">
      <c r="B23" s="5"/>
      <c r="C23" s="96" t="s">
        <v>39</v>
      </c>
      <c r="D23" s="75" t="s">
        <v>23</v>
      </c>
      <c r="E23" s="74" t="s">
        <v>40</v>
      </c>
      <c r="F23" s="43" t="s">
        <v>4</v>
      </c>
      <c r="G23" s="20"/>
      <c r="I23" s="5"/>
      <c r="J23" s="12" t="s">
        <v>2</v>
      </c>
      <c r="K23" s="12" t="s">
        <v>12</v>
      </c>
      <c r="L23" s="13" t="s">
        <v>18</v>
      </c>
      <c r="M23" s="42"/>
      <c r="N23" s="15" t="s">
        <v>35</v>
      </c>
      <c r="O23" s="12" t="s">
        <v>12</v>
      </c>
      <c r="P23" s="12" t="s">
        <v>18</v>
      </c>
      <c r="R23" s="7"/>
    </row>
    <row r="24" spans="2:18" x14ac:dyDescent="0.25">
      <c r="B24" s="5"/>
      <c r="C24" s="97"/>
      <c r="D24" s="19" t="s">
        <v>2</v>
      </c>
      <c r="E24" s="19" t="s">
        <v>42</v>
      </c>
      <c r="F24" s="45"/>
      <c r="G24" s="20"/>
      <c r="I24" s="5"/>
      <c r="J24" s="21" t="s">
        <v>5</v>
      </c>
      <c r="K24" s="52">
        <f>76.61</f>
        <v>76.61</v>
      </c>
      <c r="L24" s="52">
        <v>95.25</v>
      </c>
      <c r="N24" s="18" t="s">
        <v>22</v>
      </c>
      <c r="O24" s="52">
        <v>10.31</v>
      </c>
      <c r="P24" s="52">
        <v>15.47</v>
      </c>
      <c r="R24" s="7"/>
    </row>
    <row r="25" spans="2:18" ht="21" customHeight="1" x14ac:dyDescent="0.25">
      <c r="B25" s="5"/>
      <c r="C25" s="98"/>
      <c r="D25" s="1" t="s">
        <v>6</v>
      </c>
      <c r="E25" s="81">
        <f>E14</f>
        <v>0</v>
      </c>
      <c r="F25" s="46"/>
      <c r="G25" s="7"/>
      <c r="I25" s="5"/>
      <c r="J25" s="27" t="s">
        <v>6</v>
      </c>
      <c r="K25" s="52">
        <f>127.97</f>
        <v>127.97</v>
      </c>
      <c r="L25" s="52">
        <v>258.35000000000002</v>
      </c>
      <c r="R25" s="7"/>
    </row>
    <row r="26" spans="2:18" x14ac:dyDescent="0.25">
      <c r="B26" s="5"/>
      <c r="C26" s="33" t="s">
        <v>32</v>
      </c>
      <c r="D26" s="34">
        <f>VLOOKUP(D25,$J$23:$L$30,2,FALSE)</f>
        <v>127.97</v>
      </c>
      <c r="E26" s="83">
        <f>E25*O24</f>
        <v>0</v>
      </c>
      <c r="F26" s="48">
        <f>E26+D26</f>
        <v>127.97</v>
      </c>
      <c r="G26" s="36"/>
      <c r="I26" s="5"/>
      <c r="J26" s="32" t="s">
        <v>7</v>
      </c>
      <c r="K26" s="52">
        <f>254.86</f>
        <v>254.86</v>
      </c>
      <c r="L26" s="52">
        <v>657.2</v>
      </c>
      <c r="P26" s="44"/>
      <c r="R26" s="7"/>
    </row>
    <row r="27" spans="2:18" ht="15.75" thickBot="1" x14ac:dyDescent="0.3">
      <c r="B27" s="5"/>
      <c r="C27" s="38" t="s">
        <v>33</v>
      </c>
      <c r="D27" s="49">
        <f>VLOOKUP(D25,$J$24:$L$30,3,FALSE)</f>
        <v>258.35000000000002</v>
      </c>
      <c r="E27" s="49">
        <f>E25*P24</f>
        <v>0</v>
      </c>
      <c r="F27" s="50">
        <f>E27+D27</f>
        <v>258.35000000000002</v>
      </c>
      <c r="G27" s="51"/>
      <c r="I27" s="5"/>
      <c r="J27" s="27" t="s">
        <v>8</v>
      </c>
      <c r="K27" s="52">
        <f>408.03</f>
        <v>408.03</v>
      </c>
      <c r="L27" s="52">
        <v>841.02</v>
      </c>
      <c r="R27" s="7"/>
    </row>
    <row r="28" spans="2:18" x14ac:dyDescent="0.25">
      <c r="B28" s="5"/>
      <c r="C28" s="99" t="s">
        <v>13</v>
      </c>
      <c r="D28" s="100"/>
      <c r="E28" s="100"/>
      <c r="F28" s="53">
        <f>F26+F20</f>
        <v>210.38</v>
      </c>
      <c r="G28" s="54"/>
      <c r="I28" s="5"/>
      <c r="J28" s="27" t="s">
        <v>9</v>
      </c>
      <c r="K28" s="52">
        <f>893.44</f>
        <v>893.44</v>
      </c>
      <c r="L28" s="52">
        <v>2093.81</v>
      </c>
      <c r="R28" s="7"/>
    </row>
    <row r="29" spans="2:18" x14ac:dyDescent="0.25">
      <c r="B29" s="5"/>
      <c r="C29" s="84" t="s">
        <v>14</v>
      </c>
      <c r="D29" s="85"/>
      <c r="E29" s="85"/>
      <c r="F29" s="55">
        <f>F21+F27</f>
        <v>370.3</v>
      </c>
      <c r="G29" s="54"/>
      <c r="I29" s="5"/>
      <c r="J29" s="27" t="s">
        <v>10</v>
      </c>
      <c r="K29" s="52">
        <f>1276.06</f>
        <v>1276.06</v>
      </c>
      <c r="L29" s="52">
        <v>6307.17</v>
      </c>
      <c r="R29" s="7"/>
    </row>
    <row r="30" spans="2:18" ht="15" customHeight="1" thickBot="1" x14ac:dyDescent="0.3">
      <c r="B30" s="5"/>
      <c r="C30" s="56" t="s">
        <v>34</v>
      </c>
      <c r="D30" s="57"/>
      <c r="E30" s="57"/>
      <c r="F30" s="58">
        <f>IFERROR((F29-F28)/F28,)</f>
        <v>0.76014830307063419</v>
      </c>
      <c r="G30" s="59"/>
      <c r="I30" s="5"/>
      <c r="J30" s="27" t="s">
        <v>37</v>
      </c>
      <c r="K30" s="23">
        <v>0</v>
      </c>
      <c r="L30" s="23">
        <v>0</v>
      </c>
      <c r="R30" s="7"/>
    </row>
    <row r="31" spans="2:18" ht="15.75" thickBot="1" x14ac:dyDescent="0.3">
      <c r="B31" s="60"/>
      <c r="C31" s="61"/>
      <c r="D31" s="61"/>
      <c r="E31" s="61"/>
      <c r="F31" s="61"/>
      <c r="G31" s="62"/>
      <c r="I31" s="60"/>
      <c r="J31" s="61"/>
      <c r="K31" s="61"/>
      <c r="L31" s="61"/>
      <c r="M31" s="61"/>
      <c r="N31" s="61"/>
      <c r="O31" s="61"/>
      <c r="P31" s="61"/>
      <c r="Q31" s="61"/>
      <c r="R31" s="62"/>
    </row>
    <row r="32" spans="2:18" ht="15.75" thickBot="1" x14ac:dyDescent="0.3">
      <c r="K32" s="63"/>
      <c r="L32" s="64"/>
      <c r="M32" s="64"/>
    </row>
    <row r="33" spans="2:18" x14ac:dyDescent="0.25">
      <c r="B33" s="65"/>
      <c r="C33" s="66" t="s">
        <v>25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2:18" x14ac:dyDescent="0.25">
      <c r="B34" s="69"/>
      <c r="C34" t="s">
        <v>26</v>
      </c>
      <c r="R34" s="70"/>
    </row>
    <row r="35" spans="2:18" x14ac:dyDescent="0.25">
      <c r="B35" s="69"/>
      <c r="C35" t="s">
        <v>27</v>
      </c>
      <c r="R35" s="70"/>
    </row>
    <row r="36" spans="2:18" ht="15.75" thickBot="1" x14ac:dyDescent="0.3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</row>
  </sheetData>
  <sheetProtection sheet="1" objects="1" scenarios="1"/>
  <mergeCells count="10">
    <mergeCell ref="C29:E29"/>
    <mergeCell ref="C8:G8"/>
    <mergeCell ref="C22:F22"/>
    <mergeCell ref="C16:F16"/>
    <mergeCell ref="D2:N2"/>
    <mergeCell ref="D3:N3"/>
    <mergeCell ref="B6:G6"/>
    <mergeCell ref="C23:C25"/>
    <mergeCell ref="C28:E28"/>
    <mergeCell ref="D4:N4"/>
  </mergeCells>
  <dataValidations disablePrompts="1" count="2">
    <dataValidation type="list" allowBlank="1" showInputMessage="1" showErrorMessage="1" sqref="D19" xr:uid="{84AD3A56-C28E-4186-A63B-AEFB5CF6A78B}">
      <formula1>$J$14:$J$20</formula1>
    </dataValidation>
    <dataValidation type="list" allowBlank="1" showInputMessage="1" showErrorMessage="1" sqref="D25" xr:uid="{729DF935-F943-4FDA-97B7-0D2719CC2EAD}">
      <formula1>$J$24:$J$30</formula1>
    </dataValidation>
  </dataValidation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C5CE8-1DFB-463C-A416-9FBA80A6AAFE}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 Lim</dc:creator>
  <cp:lastModifiedBy>Miko Lim</cp:lastModifiedBy>
  <cp:lastPrinted>2024-05-13T20:08:25Z</cp:lastPrinted>
  <dcterms:created xsi:type="dcterms:W3CDTF">2024-05-13T16:54:10Z</dcterms:created>
  <dcterms:modified xsi:type="dcterms:W3CDTF">2024-06-05T18:46:52Z</dcterms:modified>
</cp:coreProperties>
</file>